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180" windowHeight="42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6" i="1"/>
  <c r="S34"/>
  <c r="R26"/>
  <c r="Q26"/>
  <c r="G24"/>
  <c r="M35"/>
  <c r="L35"/>
  <c r="O35" s="1"/>
  <c r="K35"/>
  <c r="J35"/>
  <c r="M33"/>
  <c r="L33"/>
  <c r="O33" s="1"/>
  <c r="K33"/>
  <c r="J33"/>
  <c r="M32"/>
  <c r="L32"/>
  <c r="O32" s="1"/>
  <c r="K32"/>
  <c r="J32"/>
  <c r="M30"/>
  <c r="L30"/>
  <c r="O30" s="1"/>
  <c r="K30"/>
  <c r="J30"/>
  <c r="M29"/>
  <c r="L29"/>
  <c r="O29" s="1"/>
  <c r="K29"/>
  <c r="J29"/>
  <c r="M27"/>
  <c r="L27"/>
  <c r="O27" s="1"/>
  <c r="K27"/>
  <c r="J27"/>
  <c r="M26"/>
  <c r="L26"/>
  <c r="O26" s="1"/>
  <c r="K26"/>
  <c r="J26"/>
  <c r="D24"/>
  <c r="E24" s="1"/>
  <c r="C12"/>
  <c r="C13"/>
  <c r="C15"/>
  <c r="C16"/>
  <c r="C18"/>
  <c r="C19"/>
  <c r="C21"/>
  <c r="M16"/>
  <c r="L16"/>
  <c r="O16" s="1"/>
  <c r="K16"/>
  <c r="J16"/>
  <c r="V7"/>
  <c r="V6"/>
  <c r="V5"/>
  <c r="V4"/>
  <c r="U7"/>
  <c r="T7"/>
  <c r="U6"/>
  <c r="T6"/>
  <c r="U5"/>
  <c r="T5"/>
  <c r="U4"/>
  <c r="T4"/>
  <c r="R21"/>
  <c r="R19"/>
  <c r="R18"/>
  <c r="R15"/>
  <c r="R13"/>
  <c r="R12"/>
  <c r="I10"/>
  <c r="G10"/>
  <c r="E10"/>
  <c r="D10"/>
  <c r="R8"/>
  <c r="S8"/>
  <c r="Q21"/>
  <c r="Q19"/>
  <c r="Q18"/>
  <c r="Q15"/>
  <c r="Q13"/>
  <c r="Q12"/>
  <c r="P21"/>
  <c r="P19"/>
  <c r="P18"/>
  <c r="P15"/>
  <c r="P13"/>
  <c r="P12"/>
  <c r="R4"/>
  <c r="S7"/>
  <c r="S6"/>
  <c r="S5"/>
  <c r="R7"/>
  <c r="R6"/>
  <c r="R5"/>
  <c r="D2"/>
  <c r="E2"/>
  <c r="K19"/>
  <c r="S4"/>
  <c r="Q7"/>
  <c r="Q6"/>
  <c r="Q5"/>
  <c r="Q4"/>
  <c r="P7"/>
  <c r="P6"/>
  <c r="P5"/>
  <c r="P4"/>
  <c r="H2"/>
  <c r="Q8"/>
  <c r="J7"/>
  <c r="J6"/>
  <c r="J5"/>
  <c r="J4"/>
  <c r="K7"/>
  <c r="K6"/>
  <c r="K5"/>
  <c r="K4"/>
  <c r="N7"/>
  <c r="N6"/>
  <c r="N5"/>
  <c r="N4"/>
  <c r="O7"/>
  <c r="O6"/>
  <c r="O5"/>
  <c r="O4"/>
  <c r="K13"/>
  <c r="M21"/>
  <c r="L21"/>
  <c r="O21" s="1"/>
  <c r="K21"/>
  <c r="J21"/>
  <c r="M19"/>
  <c r="L19"/>
  <c r="O19" s="1"/>
  <c r="J19"/>
  <c r="M18"/>
  <c r="L18"/>
  <c r="O18" s="1"/>
  <c r="K18"/>
  <c r="J18"/>
  <c r="M15"/>
  <c r="L15"/>
  <c r="O15" s="1"/>
  <c r="K15"/>
  <c r="J15"/>
  <c r="M13"/>
  <c r="L13"/>
  <c r="O13" s="1"/>
  <c r="J13"/>
  <c r="M12"/>
  <c r="L12"/>
  <c r="O12" s="1"/>
  <c r="K12"/>
  <c r="J12"/>
  <c r="L5"/>
  <c r="L4"/>
  <c r="L6"/>
  <c r="L7"/>
  <c r="M5"/>
  <c r="M4"/>
  <c r="M6"/>
  <c r="M7"/>
  <c r="N26" l="1"/>
  <c r="P26" s="1"/>
  <c r="N27"/>
  <c r="P27" s="1"/>
  <c r="N29"/>
  <c r="P29" s="1"/>
  <c r="N30"/>
  <c r="P30" s="1"/>
  <c r="N32"/>
  <c r="P32" s="1"/>
  <c r="N33"/>
  <c r="P33" s="1"/>
  <c r="N35"/>
  <c r="P35" s="1"/>
  <c r="S21"/>
  <c r="U21" s="1"/>
  <c r="Q22"/>
  <c r="T21"/>
  <c r="S19"/>
  <c r="U19" s="1"/>
  <c r="T19"/>
  <c r="S18"/>
  <c r="U18" s="1"/>
  <c r="Q20"/>
  <c r="T18"/>
  <c r="S15"/>
  <c r="T15" s="1"/>
  <c r="U15"/>
  <c r="S13"/>
  <c r="U13" s="1"/>
  <c r="T13"/>
  <c r="S12"/>
  <c r="U12" s="1"/>
  <c r="Q14"/>
  <c r="T12"/>
  <c r="N16"/>
  <c r="P16" s="1"/>
  <c r="N12"/>
  <c r="N13"/>
  <c r="N15"/>
  <c r="N18"/>
  <c r="N19"/>
  <c r="N21"/>
  <c r="R35" l="1"/>
  <c r="Q35"/>
  <c r="R33"/>
  <c r="Q33"/>
  <c r="R32"/>
  <c r="Q32"/>
  <c r="R30"/>
  <c r="Q30"/>
  <c r="R29"/>
  <c r="Q29"/>
  <c r="R27"/>
  <c r="Q27"/>
  <c r="V21"/>
  <c r="V19"/>
  <c r="V18"/>
  <c r="V13"/>
  <c r="V12"/>
  <c r="R16"/>
  <c r="Q16"/>
  <c r="Q17" s="1"/>
  <c r="V15" s="1"/>
  <c r="Q28" l="1"/>
  <c r="Q31"/>
  <c r="Q34"/>
  <c r="Q36"/>
  <c r="S26"/>
  <c r="U26" s="1"/>
  <c r="S27"/>
  <c r="U27" s="1"/>
  <c r="S29"/>
  <c r="U29" s="1"/>
  <c r="S30"/>
  <c r="S32"/>
  <c r="U32" s="1"/>
  <c r="S33"/>
  <c r="U33" s="1"/>
  <c r="S35"/>
  <c r="U35" s="1"/>
  <c r="S16"/>
  <c r="T35" l="1"/>
  <c r="V35" s="1"/>
  <c r="T33"/>
  <c r="V33" s="1"/>
  <c r="T32"/>
  <c r="V32" s="1"/>
  <c r="T29"/>
  <c r="V29" s="1"/>
  <c r="T27"/>
  <c r="V27" s="1"/>
  <c r="T26"/>
  <c r="V26" s="1"/>
</calcChain>
</file>

<file path=xl/sharedStrings.xml><?xml version="1.0" encoding="utf-8"?>
<sst xmlns="http://schemas.openxmlformats.org/spreadsheetml/2006/main" count="52" uniqueCount="24">
  <si>
    <t>格子定数Nの測定</t>
    <rPh sb="0" eb="4">
      <t>コウシテイスウ</t>
    </rPh>
    <rPh sb="6" eb="8">
      <t>ソクテイ</t>
    </rPh>
    <phoneticPr fontId="1"/>
  </si>
  <si>
    <t>D_1</t>
    <phoneticPr fontId="1"/>
  </si>
  <si>
    <t>D_2</t>
    <phoneticPr fontId="1"/>
  </si>
  <si>
    <t>θ_L</t>
    <phoneticPr fontId="1"/>
  </si>
  <si>
    <t>θ_R</t>
    <phoneticPr fontId="1"/>
  </si>
  <si>
    <t>θ_R - θ_L</t>
    <phoneticPr fontId="1"/>
  </si>
  <si>
    <t>θ_R + θ_L</t>
    <phoneticPr fontId="1"/>
  </si>
  <si>
    <t>(θ_R - θ_L)/2</t>
    <phoneticPr fontId="1"/>
  </si>
  <si>
    <t>Na</t>
    <phoneticPr fontId="1"/>
  </si>
  <si>
    <t>波長λの測定</t>
    <rPh sb="0" eb="2">
      <t>ハチョウ</t>
    </rPh>
    <rPh sb="4" eb="6">
      <t>ソクテイ</t>
    </rPh>
    <phoneticPr fontId="1"/>
  </si>
  <si>
    <t>Hg</t>
    <phoneticPr fontId="1"/>
  </si>
  <si>
    <t>紫(内側)</t>
    <rPh sb="0" eb="1">
      <t>ムラサキ</t>
    </rPh>
    <rPh sb="2" eb="4">
      <t>ウチガワ</t>
    </rPh>
    <phoneticPr fontId="1"/>
  </si>
  <si>
    <t>紫(外側)</t>
    <rPh sb="0" eb="1">
      <t>ムラサキ</t>
    </rPh>
    <rPh sb="2" eb="4">
      <t>ソトガワ</t>
    </rPh>
    <phoneticPr fontId="1"/>
  </si>
  <si>
    <t>青</t>
    <rPh sb="0" eb="1">
      <t>アオ</t>
    </rPh>
    <phoneticPr fontId="1"/>
  </si>
  <si>
    <t>緑</t>
    <rPh sb="0" eb="1">
      <t>ミドリ</t>
    </rPh>
    <phoneticPr fontId="1"/>
  </si>
  <si>
    <t>N</t>
    <phoneticPr fontId="1"/>
  </si>
  <si>
    <t>\Delta θ</t>
    <phoneticPr fontId="1"/>
  </si>
  <si>
    <t>\Delta λ_i</t>
    <phoneticPr fontId="1"/>
  </si>
  <si>
    <t>\Delta N / N</t>
    <phoneticPr fontId="1"/>
  </si>
  <si>
    <t>θ_m</t>
    <phoneticPr fontId="1"/>
  </si>
  <si>
    <t>\Delta N</t>
    <phoneticPr fontId="1"/>
  </si>
  <si>
    <t>\Delta λ / λ</t>
    <phoneticPr fontId="1"/>
  </si>
  <si>
    <t>N</t>
    <phoneticPr fontId="1"/>
  </si>
  <si>
    <t>λ</t>
    <phoneticPr fontId="1"/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</si>
</sst>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000_ "/>
    <numFmt numFmtId="178" formatCode="0_);[Red]\(0\)"/>
    <numFmt numFmtId="179" formatCode="0.00000000_);[Red]\(0.00000000\)"/>
    <numFmt numFmtId="180" formatCode="0.0_ "/>
    <numFmt numFmtId="181" formatCode="0_ "/>
    <numFmt numFmtId="182" formatCode="0.000%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179" fontId="0" fillId="0" borderId="0" xfId="0" applyNumberFormat="1" applyFont="1">
      <alignment vertical="center"/>
    </xf>
    <xf numFmtId="179" fontId="0" fillId="0" borderId="0" xfId="0" applyNumberFormat="1">
      <alignment vertical="center"/>
    </xf>
    <xf numFmtId="179" fontId="3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181" fontId="0" fillId="0" borderId="0" xfId="0" applyNumberFormat="1" applyFont="1">
      <alignment vertical="center"/>
    </xf>
    <xf numFmtId="182" fontId="0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topLeftCell="A35" zoomScaleNormal="100" workbookViewId="0">
      <selection activeCell="S36" sqref="S36"/>
    </sheetView>
  </sheetViews>
  <sheetFormatPr defaultRowHeight="13.5"/>
  <cols>
    <col min="1" max="1" width="7.625" style="1" customWidth="1"/>
    <col min="2" max="2" width="3.5" style="1" bestFit="1" customWidth="1"/>
    <col min="3" max="3" width="8.625" style="1" bestFit="1" customWidth="1"/>
    <col min="4" max="9" width="6" style="1" customWidth="1"/>
    <col min="10" max="16" width="7.375" style="1" customWidth="1"/>
    <col min="17" max="17" width="9.125" style="1" bestFit="1" customWidth="1"/>
    <col min="18" max="18" width="13.875" style="1" bestFit="1" customWidth="1"/>
    <col min="19" max="19" width="9.75" style="1" bestFit="1" customWidth="1"/>
    <col min="20" max="21" width="9.125" style="1" bestFit="1" customWidth="1"/>
    <col min="22" max="16384" width="9" style="1"/>
  </cols>
  <sheetData>
    <row r="1" spans="1:22">
      <c r="A1" s="1" t="s">
        <v>0</v>
      </c>
    </row>
    <row r="2" spans="1:22">
      <c r="A2" s="1" t="s">
        <v>8</v>
      </c>
      <c r="C2" s="1" t="s">
        <v>16</v>
      </c>
      <c r="D2" s="1">
        <f>1/60</f>
        <v>1.6666666666666666E-2</v>
      </c>
      <c r="E2" s="3">
        <f>D2*PI()/180</f>
        <v>2.9088820866572158E-4</v>
      </c>
      <c r="F2" s="2" t="s">
        <v>17</v>
      </c>
      <c r="G2" s="1">
        <v>1E-3</v>
      </c>
      <c r="H2" s="1">
        <f>G2*POWER(10,-9)</f>
        <v>1.0000000000000002E-12</v>
      </c>
    </row>
    <row r="3" spans="1:22">
      <c r="C3" t="s">
        <v>23</v>
      </c>
      <c r="D3" s="19" t="s">
        <v>4</v>
      </c>
      <c r="E3" s="19"/>
      <c r="F3" s="19"/>
      <c r="G3" s="19" t="s">
        <v>3</v>
      </c>
      <c r="H3" s="19"/>
      <c r="I3" s="19"/>
      <c r="J3" s="19" t="s">
        <v>6</v>
      </c>
      <c r="K3" s="19"/>
      <c r="L3" s="19" t="s">
        <v>5</v>
      </c>
      <c r="M3" s="19"/>
      <c r="N3" s="19" t="s">
        <v>7</v>
      </c>
      <c r="O3" s="19"/>
      <c r="P3" s="5" t="s">
        <v>19</v>
      </c>
      <c r="Q3" s="1" t="s">
        <v>15</v>
      </c>
      <c r="R3" s="4" t="s">
        <v>18</v>
      </c>
      <c r="S3" s="4" t="s">
        <v>20</v>
      </c>
      <c r="T3" s="4"/>
    </row>
    <row r="4" spans="1:22">
      <c r="A4" s="1" t="s">
        <v>1</v>
      </c>
      <c r="B4" s="1">
        <v>1</v>
      </c>
      <c r="C4" s="1">
        <v>589.59199999999998</v>
      </c>
      <c r="D4" s="1">
        <v>200</v>
      </c>
      <c r="E4" s="1">
        <v>30</v>
      </c>
      <c r="F4" s="1">
        <v>15</v>
      </c>
      <c r="G4" s="1">
        <v>159</v>
      </c>
      <c r="H4" s="1">
        <v>0</v>
      </c>
      <c r="I4" s="1">
        <v>18</v>
      </c>
      <c r="J4" s="1">
        <f>D4+G4+ROUNDDOWN((E4+F4+H4+I4)/60,0)</f>
        <v>360</v>
      </c>
      <c r="K4" s="1">
        <f>(E4+F4+H4+I4)-60*ROUNDDOWN((E4+F4+H4+I4)/60,0)</f>
        <v>3</v>
      </c>
      <c r="L4" s="1">
        <f>D4-G4+ROUNDDOWN((E4+F4-H4-I4)/60,0)+IF(E4+F4-H4-I4 &gt;= 0,0,-1)</f>
        <v>41</v>
      </c>
      <c r="M4" s="1">
        <f>E4+F4-H4-I4+60*ROUNDDOWN((E4+F4-H4-I4)/60,0)+IF(E4+F4-H4-I4+60*ROUNDDOWN((E4+F4-H4-I4)/60,0) &gt;= 0,0,60)</f>
        <v>27</v>
      </c>
      <c r="N4" s="1">
        <f>ROUNDDOWN(L4/2,0)</f>
        <v>20</v>
      </c>
      <c r="O4" s="1">
        <f>(L4-ROUNDDOWN(L4/2,0)*2)*30+M4/2</f>
        <v>43.5</v>
      </c>
      <c r="P4" s="1">
        <f>(N4+O4/60)*PI()/180</f>
        <v>0.36171948747582483</v>
      </c>
      <c r="Q4" s="16">
        <f>SIN(P4)/B4/C4/POWER(10,-9)/1000</f>
        <v>600.21671694264512</v>
      </c>
      <c r="R4" s="13">
        <f>SQRT(POWER(COS(P4)/SIN(P4)*$E$2,2)+POWER($H$2/(C4*POWER(10,-9)),2))</f>
        <v>7.6880050680537472E-4</v>
      </c>
      <c r="S4" s="1">
        <f>R4*Q4</f>
        <v>0.4614469161785637</v>
      </c>
      <c r="T4" s="6">
        <f>Q4+S4</f>
        <v>600.67816385882372</v>
      </c>
      <c r="U4" s="6">
        <f>Q4-S4</f>
        <v>599.75527002646652</v>
      </c>
      <c r="V4" s="6">
        <f>(T4-$Q$8)*($Q$8-U4)</f>
        <v>0.2072005208144867</v>
      </c>
    </row>
    <row r="5" spans="1:22">
      <c r="B5" s="1">
        <v>2</v>
      </c>
      <c r="C5" s="1">
        <v>589.59199999999998</v>
      </c>
      <c r="D5" s="1">
        <v>225</v>
      </c>
      <c r="E5" s="1">
        <v>0</v>
      </c>
      <c r="F5" s="1">
        <v>9</v>
      </c>
      <c r="G5" s="1">
        <v>135</v>
      </c>
      <c r="H5" s="1">
        <v>0</v>
      </c>
      <c r="I5" s="1">
        <v>2</v>
      </c>
      <c r="J5" s="1">
        <f>D5+G5+ROUNDDOWN((E5+F5+H5+I5)/60,0)</f>
        <v>360</v>
      </c>
      <c r="K5" s="1">
        <f>(E5+F5+H5+I5)-60*ROUNDDOWN((E5+F5+H5+I5)/60,0)</f>
        <v>11</v>
      </c>
      <c r="L5" s="1">
        <f>D5-G5+ROUNDDOWN((E5+F5-H5-I5)/60,0)+IF(E5+F5-H5-I5 &gt;= 0,0,-1)</f>
        <v>90</v>
      </c>
      <c r="M5" s="1">
        <f>E5+F5-H5-I5+60*ROUNDDOWN((E5+F5-H5-I5)/60,0)+IF(E5+F5-H5-I5+60*ROUNDDOWN((E5+F5-H5-I5)/60,0) &gt;= 0,0,60)</f>
        <v>7</v>
      </c>
      <c r="N5" s="1">
        <f>ROUNDDOWN(L5/2,0)</f>
        <v>45</v>
      </c>
      <c r="O5" s="1">
        <f>(L5-ROUNDDOWN(L5/2,0)*2)*30+M5/2</f>
        <v>3.5</v>
      </c>
      <c r="P5" s="1">
        <f t="shared" ref="P5:P7" si="0">(N5+O5/60)*PI()/180</f>
        <v>0.7864162721277782</v>
      </c>
      <c r="Q5" s="16">
        <f t="shared" ref="Q5:Q7" si="1">SIN(P5)/B5/C5/POWER(10,-9)/1000</f>
        <v>600.26791931986395</v>
      </c>
      <c r="R5" s="13">
        <f t="shared" ref="R5:R7" si="2">SQRT(POWER(COS(P5)/SIN(P5)*$E$2,2)+POWER($H$2/(C5*POWER(10,-9)),2))</f>
        <v>2.9030145398153913E-4</v>
      </c>
      <c r="S5" s="1">
        <f t="shared" ref="S5:S7" si="3">R5*Q5</f>
        <v>0.17425864975702973</v>
      </c>
      <c r="T5" s="6">
        <f>Q5+S5</f>
        <v>600.44217796962096</v>
      </c>
      <c r="U5" s="6">
        <f>Q5-S5</f>
        <v>600.09366067010694</v>
      </c>
      <c r="V5" s="6">
        <f>(T5-$Q$8)*($Q$8-U5)</f>
        <v>1.4258099268218794E-2</v>
      </c>
    </row>
    <row r="6" spans="1:22">
      <c r="A6" s="1" t="s">
        <v>2</v>
      </c>
      <c r="B6" s="1">
        <v>1</v>
      </c>
      <c r="C6" s="1">
        <v>588.995</v>
      </c>
      <c r="D6" s="1">
        <v>200</v>
      </c>
      <c r="E6" s="1">
        <v>30</v>
      </c>
      <c r="F6" s="1">
        <v>13</v>
      </c>
      <c r="G6" s="1">
        <v>159</v>
      </c>
      <c r="H6" s="1">
        <v>0</v>
      </c>
      <c r="I6" s="1">
        <v>20</v>
      </c>
      <c r="J6" s="1">
        <f>D6+G6+ROUNDDOWN((E6+F6+H6+I6)/60,0)</f>
        <v>360</v>
      </c>
      <c r="K6" s="1">
        <f>(E6+F6+H6+I6)-60*ROUNDDOWN((E6+F6+H6+I6)/60,0)</f>
        <v>3</v>
      </c>
      <c r="L6" s="1">
        <f>D6-G6+ROUNDDOWN((E6+F6-H6-I6)/60,0)+IF(E6+F6-H6-I6 &gt;= 0,0,-1)</f>
        <v>41</v>
      </c>
      <c r="M6" s="1">
        <f>E6+F6-H6-I6+60*ROUNDDOWN((E6+F6-H6-I6)/60,0)+IF(E6+F6-H6-I6+60*ROUNDDOWN((E6+F6-H6-I6)/60,0) &gt;= 0,0,60)</f>
        <v>23</v>
      </c>
      <c r="N6" s="1">
        <f>ROUNDDOWN(L6/2,0)</f>
        <v>20</v>
      </c>
      <c r="O6" s="1">
        <f>(L6-ROUNDDOWN(L6/2,0)*2)*30+M6/2</f>
        <v>41.5</v>
      </c>
      <c r="P6" s="1">
        <f t="shared" si="0"/>
        <v>0.36113771105849329</v>
      </c>
      <c r="Q6" s="16">
        <f t="shared" si="1"/>
        <v>599.90116252568862</v>
      </c>
      <c r="R6" s="13">
        <f t="shared" si="2"/>
        <v>7.7015392305152333E-4</v>
      </c>
      <c r="S6" s="1">
        <f t="shared" si="3"/>
        <v>0.46201623376232859</v>
      </c>
      <c r="T6" s="6">
        <f>Q6+S6</f>
        <v>600.36317875945099</v>
      </c>
      <c r="U6" s="6">
        <f>Q6-S6</f>
        <v>599.43914629192625</v>
      </c>
      <c r="V6" s="6">
        <f>(T6-$Q$8)*($Q$8-U6)</f>
        <v>0.15593597327735315</v>
      </c>
    </row>
    <row r="7" spans="1:22">
      <c r="B7" s="1">
        <v>2</v>
      </c>
      <c r="C7" s="1">
        <v>588.995</v>
      </c>
      <c r="D7" s="1">
        <v>225</v>
      </c>
      <c r="E7" s="1">
        <v>0</v>
      </c>
      <c r="F7" s="1">
        <v>4</v>
      </c>
      <c r="G7" s="1">
        <v>135</v>
      </c>
      <c r="H7" s="1">
        <v>0</v>
      </c>
      <c r="I7" s="1">
        <v>5</v>
      </c>
      <c r="J7" s="1">
        <f>D7+G7+ROUNDDOWN((E7+F7+H7+I7)/60,0)</f>
        <v>360</v>
      </c>
      <c r="K7" s="1">
        <f>(E7+F7+H7+I7)-60*ROUNDDOWN((E7+F7+H7+I7)/60,0)</f>
        <v>9</v>
      </c>
      <c r="L7" s="1">
        <f>D7-G7+ROUNDDOWN((E7+F7-H7-I7)/60,0)+IF(E7+F7-H7-I7 &gt;= 0,0,-1)</f>
        <v>89</v>
      </c>
      <c r="M7" s="1">
        <f>E7+F7-H7-I7+60*ROUNDDOWN((E7+F7-H7-I7)/60,0)+IF(E7+F7-H7-I7+60*ROUNDDOWN((E7+F7-H7-I7)/60,0) &gt;= 0,0,60)</f>
        <v>59</v>
      </c>
      <c r="N7" s="1">
        <f>ROUNDDOWN(L7/2,0)</f>
        <v>44</v>
      </c>
      <c r="O7" s="1">
        <f>(L7-ROUNDDOWN(L7/2,0)*2)*30+M7/2</f>
        <v>59.5</v>
      </c>
      <c r="P7" s="1">
        <f t="shared" si="0"/>
        <v>0.78525271929311546</v>
      </c>
      <c r="Q7" s="16">
        <f t="shared" si="1"/>
        <v>600.17820965830674</v>
      </c>
      <c r="R7" s="13">
        <f t="shared" si="2"/>
        <v>2.9097779017944725E-4</v>
      </c>
      <c r="S7" s="1">
        <f t="shared" si="3"/>
        <v>0.17463852916023109</v>
      </c>
      <c r="T7" s="6">
        <f>Q7+S7</f>
        <v>600.35284818746698</v>
      </c>
      <c r="U7" s="6">
        <f>Q7-S7</f>
        <v>600.00357112914651</v>
      </c>
      <c r="V7" s="6">
        <f>(T7-$Q$8)*($Q$8-U7)</f>
        <v>2.9114214337249804E-2</v>
      </c>
    </row>
    <row r="8" spans="1:22">
      <c r="Q8" s="16">
        <f>AVERAGE(Q4:Q7)</f>
        <v>600.14100211162599</v>
      </c>
      <c r="R8" s="13">
        <f>AVERAGE(R4:R7)</f>
        <v>5.3005841850447101E-4</v>
      </c>
      <c r="S8" s="1">
        <f>AVERAGE(S4:S7)</f>
        <v>0.31809008221453827</v>
      </c>
    </row>
    <row r="9" spans="1:22">
      <c r="R9" s="13"/>
    </row>
    <row r="10" spans="1:22">
      <c r="A10" s="1" t="s">
        <v>9</v>
      </c>
      <c r="C10" t="s">
        <v>16</v>
      </c>
      <c r="D10" s="1">
        <f>1/60</f>
        <v>1.6666666666666666E-2</v>
      </c>
      <c r="E10" s="3">
        <f>D10*PI()/180</f>
        <v>2.9088820866572158E-4</v>
      </c>
      <c r="F10" t="s">
        <v>20</v>
      </c>
      <c r="G10" s="1">
        <f>S8</f>
        <v>0.31809008221453827</v>
      </c>
      <c r="H10" t="s">
        <v>22</v>
      </c>
      <c r="I10" s="1">
        <f>Q8</f>
        <v>600.14100211162599</v>
      </c>
      <c r="R10" s="13"/>
    </row>
    <row r="11" spans="1:22">
      <c r="A11" s="1" t="s">
        <v>10</v>
      </c>
      <c r="C11" t="s">
        <v>22</v>
      </c>
      <c r="D11" s="19" t="s">
        <v>4</v>
      </c>
      <c r="E11" s="19"/>
      <c r="F11" s="19"/>
      <c r="G11" s="19" t="s">
        <v>3</v>
      </c>
      <c r="H11" s="19"/>
      <c r="I11" s="19"/>
      <c r="J11" s="19" t="s">
        <v>6</v>
      </c>
      <c r="K11" s="19"/>
      <c r="L11" s="19" t="s">
        <v>5</v>
      </c>
      <c r="M11" s="19"/>
      <c r="N11" s="19" t="s">
        <v>7</v>
      </c>
      <c r="O11" s="19"/>
      <c r="P11" s="5" t="s">
        <v>19</v>
      </c>
      <c r="Q11" t="s">
        <v>23</v>
      </c>
      <c r="R11" s="14" t="s">
        <v>21</v>
      </c>
    </row>
    <row r="12" spans="1:22">
      <c r="A12" s="1" t="s">
        <v>11</v>
      </c>
      <c r="B12" s="1">
        <v>1</v>
      </c>
      <c r="C12" s="17">
        <f>$Q$8</f>
        <v>600.14100211162599</v>
      </c>
      <c r="D12" s="1">
        <v>194</v>
      </c>
      <c r="E12" s="1">
        <v>0</v>
      </c>
      <c r="F12" s="1">
        <v>5</v>
      </c>
      <c r="G12" s="1">
        <v>165</v>
      </c>
      <c r="H12" s="1">
        <v>0</v>
      </c>
      <c r="I12" s="1">
        <v>26</v>
      </c>
      <c r="J12" s="1">
        <f t="shared" ref="J12:J21" si="4">D12+G12+ROUNDDOWN((E12+F12+H12+I12)/60,0)</f>
        <v>359</v>
      </c>
      <c r="K12" s="1">
        <f t="shared" ref="K12:K21" si="5">(E12+F12+H12+I12)-60*ROUNDDOWN((E12+F12+H12+I12)/60,0)</f>
        <v>31</v>
      </c>
      <c r="L12" s="1">
        <f t="shared" ref="L12:L21" si="6">D12-G12+ROUNDDOWN((E12+F12-H12-I12)/60,0)+IF(E12+F12-H12-I12 &gt;= 0,0,-1)</f>
        <v>28</v>
      </c>
      <c r="M12" s="1">
        <f t="shared" ref="M12:M21" si="7">E12+F12-H12-I12+60*ROUNDDOWN((E12+F12-H12-I12)/60,0)+IF(E12+F12-H12-I12+60*ROUNDDOWN((E12+F12-H12-I12)/60,0) &gt;= 0,0,60)</f>
        <v>39</v>
      </c>
      <c r="N12" s="1">
        <f t="shared" ref="N12:N21" si="8">ROUNDDOWN(L12/2,0)</f>
        <v>14</v>
      </c>
      <c r="O12" s="1">
        <f t="shared" ref="O12:O21" si="9">(L12-ROUNDDOWN(L12/2,0)*2)*30+M12/2</f>
        <v>19.5</v>
      </c>
      <c r="P12" s="1">
        <f t="shared" ref="P12:P15" si="10">(N12+O12/60)*PI()/180</f>
        <v>0.25001841534818769</v>
      </c>
      <c r="Q12" s="8">
        <f>SIN(P12)/B12/(C12*1000)*POWER(10,9)</f>
        <v>412.27278456498516</v>
      </c>
      <c r="R12" s="13">
        <f>SQRT(POWER(COS(P12)/SIN(P12)*$E$10,2)+POWER($G$10/C12,2))</f>
        <v>1.2563950002326381E-3</v>
      </c>
      <c r="S12" s="10">
        <f>R12*Q12</f>
        <v>0.51797746525943489</v>
      </c>
      <c r="T12" s="6">
        <f>Q12+S12</f>
        <v>412.79076203024459</v>
      </c>
      <c r="U12" s="6">
        <f>Q12-S12</f>
        <v>411.75480709972572</v>
      </c>
      <c r="V12" s="6">
        <f>(T12-$Q$14)*($Q$14-U12)</f>
        <v>-16.86031513298142</v>
      </c>
    </row>
    <row r="13" spans="1:22">
      <c r="B13" s="1">
        <v>2</v>
      </c>
      <c r="C13" s="17">
        <f t="shared" ref="C13:C21" si="11">$Q$8</f>
        <v>600.14100211162599</v>
      </c>
      <c r="D13" s="1">
        <v>211</v>
      </c>
      <c r="E13" s="1">
        <v>30</v>
      </c>
      <c r="F13" s="1">
        <v>5</v>
      </c>
      <c r="G13" s="1">
        <v>150</v>
      </c>
      <c r="H13" s="1">
        <v>30</v>
      </c>
      <c r="I13" s="1">
        <v>27</v>
      </c>
      <c r="J13" s="1">
        <f t="shared" si="4"/>
        <v>362</v>
      </c>
      <c r="K13" s="1">
        <f>(E13+F13+H13+I13)-60*ROUNDDOWN((E13+F13+H13+I13)/60,0)</f>
        <v>32</v>
      </c>
      <c r="L13" s="1">
        <f t="shared" si="6"/>
        <v>60</v>
      </c>
      <c r="M13" s="1">
        <f t="shared" si="7"/>
        <v>38</v>
      </c>
      <c r="N13" s="1">
        <f t="shared" si="8"/>
        <v>30</v>
      </c>
      <c r="O13" s="1">
        <f t="shared" si="9"/>
        <v>19</v>
      </c>
      <c r="P13" s="1">
        <f t="shared" si="10"/>
        <v>0.52912565156294755</v>
      </c>
      <c r="Q13" s="8">
        <f t="shared" ref="Q13:Q15" si="12">SIN(P13)/B13/(C13*1000)*POWER(10,9)</f>
        <v>420.55013094833726</v>
      </c>
      <c r="R13" s="13">
        <f>SQRT(POWER(COS(P13)/SIN(P13)*$E$10,2)+POWER($G$10/C13,2))</f>
        <v>7.2690907770557307E-4</v>
      </c>
      <c r="S13" s="10">
        <f>R13*Q13</f>
        <v>0.30570170781661382</v>
      </c>
      <c r="T13" s="6">
        <f>Q13+S13</f>
        <v>420.85583265615389</v>
      </c>
      <c r="U13" s="6">
        <f>Q13-S13</f>
        <v>420.24442924052062</v>
      </c>
      <c r="V13" s="6">
        <f>(T13-$Q$14)*($Q$14-U13)</f>
        <v>-17.035162253335997</v>
      </c>
    </row>
    <row r="14" spans="1:22">
      <c r="C14" s="17"/>
      <c r="Q14" s="8">
        <f>AVERAGE(Q12:Q13)</f>
        <v>416.41145775666121</v>
      </c>
      <c r="R14" s="13"/>
      <c r="S14" s="10"/>
    </row>
    <row r="15" spans="1:22">
      <c r="A15" s="1" t="s">
        <v>12</v>
      </c>
      <c r="B15" s="1">
        <v>1</v>
      </c>
      <c r="C15" s="17">
        <f t="shared" si="11"/>
        <v>600.14100211162599</v>
      </c>
      <c r="D15" s="1">
        <v>194</v>
      </c>
      <c r="E15" s="1">
        <v>0</v>
      </c>
      <c r="F15" s="1">
        <v>10</v>
      </c>
      <c r="G15" s="1">
        <v>165</v>
      </c>
      <c r="H15" s="1">
        <v>0</v>
      </c>
      <c r="I15" s="1">
        <v>20</v>
      </c>
      <c r="J15" s="1">
        <f t="shared" si="4"/>
        <v>359</v>
      </c>
      <c r="K15" s="1">
        <f t="shared" si="5"/>
        <v>30</v>
      </c>
      <c r="L15" s="1">
        <f t="shared" si="6"/>
        <v>28</v>
      </c>
      <c r="M15" s="1">
        <f t="shared" si="7"/>
        <v>50</v>
      </c>
      <c r="N15" s="1">
        <f t="shared" si="8"/>
        <v>14</v>
      </c>
      <c r="O15" s="1">
        <f t="shared" si="9"/>
        <v>25</v>
      </c>
      <c r="P15" s="1">
        <f t="shared" si="10"/>
        <v>0.25161830049584916</v>
      </c>
      <c r="Q15" s="8">
        <f t="shared" si="12"/>
        <v>414.85521766381794</v>
      </c>
      <c r="R15" s="13">
        <f>SQRT(POWER(COS(P15)/SIN(P15)*$E$10,2)+POWER($G$10/C15,2))</f>
        <v>1.2495493679392871E-3</v>
      </c>
      <c r="S15" s="10">
        <f>R15*Q15</f>
        <v>0.51838207501813904</v>
      </c>
      <c r="T15" s="6">
        <f>Q15+S15</f>
        <v>415.37359973883611</v>
      </c>
      <c r="U15" s="6">
        <f>Q15-S15</f>
        <v>414.33683558879977</v>
      </c>
      <c r="V15" s="6">
        <f>(T15-$Q$17)*($Q$17-U15)</f>
        <v>-13.301069200701411</v>
      </c>
    </row>
    <row r="16" spans="1:22">
      <c r="B16" s="1">
        <v>2</v>
      </c>
      <c r="C16" s="17">
        <f t="shared" si="11"/>
        <v>600.14100211162599</v>
      </c>
      <c r="D16" s="6">
        <v>211</v>
      </c>
      <c r="E16" s="6">
        <v>30</v>
      </c>
      <c r="F16" s="6">
        <v>5</v>
      </c>
      <c r="G16" s="1">
        <v>150</v>
      </c>
      <c r="H16" s="1">
        <v>30</v>
      </c>
      <c r="I16" s="1">
        <v>11</v>
      </c>
      <c r="J16" s="6">
        <f t="shared" ref="J16" si="13">D16+G16+ROUNDDOWN((E16+F16+H16+I16)/60,0)</f>
        <v>362</v>
      </c>
      <c r="K16" s="6">
        <f t="shared" ref="K16" si="14">(E16+F16+H16+I16)-60*ROUNDDOWN((E16+F16+H16+I16)/60,0)</f>
        <v>16</v>
      </c>
      <c r="L16" s="6">
        <f t="shared" ref="L16" si="15">D16-G16+ROUNDDOWN((E16+F16-H16-I16)/60,0)+IF(E16+F16-H16-I16 &gt;= 0,0,-1)</f>
        <v>60</v>
      </c>
      <c r="M16" s="6">
        <f t="shared" ref="M16" si="16">E16+F16-H16-I16+60*ROUNDDOWN((E16+F16-H16-I16)/60,0)+IF(E16+F16-H16-I16+60*ROUNDDOWN((E16+F16-H16-I16)/60,0) &gt;= 0,0,60)</f>
        <v>54</v>
      </c>
      <c r="N16" s="6">
        <f t="shared" ref="N16" si="17">ROUNDDOWN(L16/2,0)</f>
        <v>30</v>
      </c>
      <c r="O16" s="6">
        <f t="shared" ref="O16" si="18">(L16-ROUNDDOWN(L16/2,0)*2)*30+M16/2</f>
        <v>27</v>
      </c>
      <c r="P16" s="6">
        <f t="shared" ref="P16" si="19">(N16+O16/60)*PI()/180</f>
        <v>0.53145275723227325</v>
      </c>
      <c r="Q16" s="9">
        <f t="shared" ref="Q16" si="20">SIN(P16)/B16/(C16*1000)*POWER(10,9)</f>
        <v>422.2226566154215</v>
      </c>
      <c r="R16" s="15">
        <f>SQRT(POWER(COS(P16)/SIN(P16)*$E$10,2)+POWER($G$10/C16,2))</f>
        <v>7.251007348447764E-4</v>
      </c>
      <c r="S16" s="11">
        <f>R16*Q16</f>
        <v>0.30615395857995581</v>
      </c>
    </row>
    <row r="17" spans="1:22">
      <c r="C17" s="17"/>
      <c r="Q17" s="9">
        <f>AVERAGE(Q15:Q16)</f>
        <v>418.53893713961975</v>
      </c>
      <c r="R17" s="13"/>
      <c r="S17" s="10"/>
    </row>
    <row r="18" spans="1:22">
      <c r="A18" s="1" t="s">
        <v>13</v>
      </c>
      <c r="B18" s="1">
        <v>1</v>
      </c>
      <c r="C18" s="17">
        <f t="shared" si="11"/>
        <v>600.14100211162599</v>
      </c>
      <c r="D18" s="1">
        <v>195</v>
      </c>
      <c r="E18" s="1">
        <v>0</v>
      </c>
      <c r="F18" s="1">
        <v>10</v>
      </c>
      <c r="G18" s="1">
        <v>164</v>
      </c>
      <c r="H18" s="1">
        <v>30</v>
      </c>
      <c r="I18" s="1">
        <v>17</v>
      </c>
      <c r="J18" s="1">
        <f t="shared" si="4"/>
        <v>359</v>
      </c>
      <c r="K18" s="1">
        <f t="shared" si="5"/>
        <v>57</v>
      </c>
      <c r="L18" s="1">
        <f t="shared" si="6"/>
        <v>30</v>
      </c>
      <c r="M18" s="1">
        <f t="shared" si="7"/>
        <v>23</v>
      </c>
      <c r="N18" s="1">
        <f t="shared" si="8"/>
        <v>15</v>
      </c>
      <c r="O18" s="1">
        <f t="shared" si="9"/>
        <v>11.5</v>
      </c>
      <c r="P18" s="1">
        <f t="shared" ref="P18:P21" si="21">(N18+O18/60)*PI()/180</f>
        <v>0.2651446021988052</v>
      </c>
      <c r="Q18" s="8">
        <f t="shared" ref="Q18:Q21" si="22">SIN(P18)/B18/(C18*1000)*POWER(10,9)</f>
        <v>436.64541997038941</v>
      </c>
      <c r="R18" s="13">
        <f>SQRT(POWER(COS(P18)/SIN(P18)*$E$10,2)+POWER($G$10/C18,2))</f>
        <v>1.195211248534257E-3</v>
      </c>
      <c r="S18" s="10">
        <f>R18*Q18</f>
        <v>0.52188351756957418</v>
      </c>
      <c r="T18" s="6">
        <f>Q18+S18</f>
        <v>437.16730348795897</v>
      </c>
      <c r="U18" s="6">
        <f>Q18-S18</f>
        <v>436.12353645281985</v>
      </c>
      <c r="V18" s="6">
        <f>(T18-$Q$20)*($Q$20-U18)</f>
        <v>0.14544706417639072</v>
      </c>
    </row>
    <row r="19" spans="1:22">
      <c r="B19" s="1">
        <v>2</v>
      </c>
      <c r="C19" s="17">
        <f t="shared" si="11"/>
        <v>600.14100211162599</v>
      </c>
      <c r="D19" s="1">
        <v>211</v>
      </c>
      <c r="E19" s="1">
        <v>30</v>
      </c>
      <c r="F19" s="1">
        <v>2</v>
      </c>
      <c r="G19" s="1">
        <v>148</v>
      </c>
      <c r="H19" s="1">
        <v>0</v>
      </c>
      <c r="I19" s="1">
        <v>26</v>
      </c>
      <c r="J19" s="1">
        <f t="shared" si="4"/>
        <v>359</v>
      </c>
      <c r="K19" s="1">
        <f>(E19+F19+H19+I19)-60*ROUNDDOWN((E19+F19+H19+I19)/60,0)</f>
        <v>58</v>
      </c>
      <c r="L19" s="1">
        <f t="shared" si="6"/>
        <v>63</v>
      </c>
      <c r="M19" s="1">
        <f t="shared" si="7"/>
        <v>6</v>
      </c>
      <c r="N19" s="1">
        <f t="shared" si="8"/>
        <v>31</v>
      </c>
      <c r="O19" s="1">
        <f t="shared" si="9"/>
        <v>33</v>
      </c>
      <c r="P19" s="1">
        <f t="shared" si="21"/>
        <v>0.55065137900421091</v>
      </c>
      <c r="Q19" s="8">
        <f t="shared" si="22"/>
        <v>435.93291637956509</v>
      </c>
      <c r="R19" s="13">
        <f>SQRT(POWER(COS(P19)/SIN(P19)*$E$10,2)+POWER($G$10/C19,2))</f>
        <v>7.1089638392625367E-4</v>
      </c>
      <c r="S19" s="10">
        <f>R19*Q19</f>
        <v>0.30990313388865875</v>
      </c>
      <c r="T19" s="6">
        <f>Q19+S19</f>
        <v>436.24281951345375</v>
      </c>
      <c r="U19" s="6">
        <f>Q19-S19</f>
        <v>435.62301324567642</v>
      </c>
      <c r="V19" s="6">
        <f>(T19-$Q$20)*($Q$20-U19)</f>
        <v>-3.0875389340372338E-2</v>
      </c>
    </row>
    <row r="20" spans="1:22">
      <c r="C20" s="17"/>
      <c r="Q20" s="8">
        <f>AVERAGE(Q18:Q19)</f>
        <v>436.28916817497725</v>
      </c>
      <c r="R20" s="13"/>
      <c r="S20" s="10"/>
    </row>
    <row r="21" spans="1:22">
      <c r="A21" s="1" t="s">
        <v>14</v>
      </c>
      <c r="B21" s="1">
        <v>1</v>
      </c>
      <c r="C21" s="17">
        <f t="shared" si="11"/>
        <v>600.14100211162599</v>
      </c>
      <c r="D21" s="1">
        <v>199</v>
      </c>
      <c r="E21" s="1">
        <v>0</v>
      </c>
      <c r="F21" s="1">
        <v>8</v>
      </c>
      <c r="G21" s="1">
        <v>160</v>
      </c>
      <c r="H21" s="1">
        <v>30</v>
      </c>
      <c r="I21" s="1">
        <v>20</v>
      </c>
      <c r="J21" s="1">
        <f t="shared" si="4"/>
        <v>359</v>
      </c>
      <c r="K21" s="1">
        <f t="shared" si="5"/>
        <v>58</v>
      </c>
      <c r="L21" s="1">
        <f t="shared" si="6"/>
        <v>38</v>
      </c>
      <c r="M21" s="1">
        <f t="shared" si="7"/>
        <v>18</v>
      </c>
      <c r="N21" s="1">
        <f t="shared" si="8"/>
        <v>19</v>
      </c>
      <c r="O21" s="1">
        <f t="shared" si="9"/>
        <v>9</v>
      </c>
      <c r="P21" s="1">
        <f t="shared" si="21"/>
        <v>0.33423055175691407</v>
      </c>
      <c r="Q21" s="8">
        <f t="shared" si="22"/>
        <v>546.6088746042816</v>
      </c>
      <c r="R21" s="13">
        <f>SQRT(POWER(COS(P21)/SIN(P21)*$E$10,2)+POWER($G$10/C21,2))</f>
        <v>9.9127110975356881E-4</v>
      </c>
      <c r="S21" s="10">
        <f>R21*Q21</f>
        <v>0.54183758573013552</v>
      </c>
      <c r="T21" s="6">
        <f>Q21+S21</f>
        <v>547.15071219001175</v>
      </c>
      <c r="U21" s="6">
        <f>Q21-S21</f>
        <v>546.06703701855145</v>
      </c>
      <c r="V21" s="6">
        <f>(T21-$Q$22)*($Q$22-U21)</f>
        <v>0.29358796930987746</v>
      </c>
    </row>
    <row r="22" spans="1:22">
      <c r="Q22" s="8">
        <f>AVERAGE(Q21)</f>
        <v>546.6088746042816</v>
      </c>
    </row>
    <row r="24" spans="1:22">
      <c r="A24" s="1" t="s">
        <v>9</v>
      </c>
      <c r="C24" t="s">
        <v>16</v>
      </c>
      <c r="D24" s="1">
        <f>1/60</f>
        <v>1.6666666666666666E-2</v>
      </c>
      <c r="E24" s="3">
        <f>D24*PI()/180</f>
        <v>2.9088820866572158E-4</v>
      </c>
      <c r="F24" t="s">
        <v>20</v>
      </c>
      <c r="G24" s="1">
        <f>S8</f>
        <v>0.31809008221453827</v>
      </c>
      <c r="H24" t="s">
        <v>15</v>
      </c>
      <c r="I24" s="12">
        <v>600</v>
      </c>
      <c r="R24" s="13"/>
    </row>
    <row r="25" spans="1:22">
      <c r="A25" s="1" t="s">
        <v>10</v>
      </c>
      <c r="C25" t="s">
        <v>15</v>
      </c>
      <c r="D25" s="19" t="s">
        <v>4</v>
      </c>
      <c r="E25" s="19"/>
      <c r="F25" s="19"/>
      <c r="G25" s="19" t="s">
        <v>3</v>
      </c>
      <c r="H25" s="19"/>
      <c r="I25" s="19"/>
      <c r="J25" s="19" t="s">
        <v>6</v>
      </c>
      <c r="K25" s="19"/>
      <c r="L25" s="19" t="s">
        <v>5</v>
      </c>
      <c r="M25" s="19"/>
      <c r="N25" s="19" t="s">
        <v>7</v>
      </c>
      <c r="O25" s="19"/>
      <c r="P25" s="7" t="s">
        <v>19</v>
      </c>
      <c r="Q25" t="s">
        <v>23</v>
      </c>
      <c r="R25" s="14" t="s">
        <v>21</v>
      </c>
    </row>
    <row r="26" spans="1:22">
      <c r="A26" s="1" t="s">
        <v>11</v>
      </c>
      <c r="B26" s="1">
        <v>1</v>
      </c>
      <c r="C26" s="17">
        <v>600</v>
      </c>
      <c r="D26" s="1">
        <v>194</v>
      </c>
      <c r="E26" s="1">
        <v>0</v>
      </c>
      <c r="F26" s="1">
        <v>5</v>
      </c>
      <c r="G26" s="1">
        <v>165</v>
      </c>
      <c r="H26" s="1">
        <v>0</v>
      </c>
      <c r="I26" s="1">
        <v>26</v>
      </c>
      <c r="J26" s="1">
        <f t="shared" ref="J26:J27" si="23">D26+G26+ROUNDDOWN((E26+F26+H26+I26)/60,0)</f>
        <v>359</v>
      </c>
      <c r="K26" s="1">
        <f t="shared" ref="K26" si="24">(E26+F26+H26+I26)-60*ROUNDDOWN((E26+F26+H26+I26)/60,0)</f>
        <v>31</v>
      </c>
      <c r="L26" s="1">
        <f t="shared" ref="L26:L27" si="25">D26-G26+ROUNDDOWN((E26+F26-H26-I26)/60,0)+IF(E26+F26-H26-I26 &gt;= 0,0,-1)</f>
        <v>28</v>
      </c>
      <c r="M26" s="1">
        <f t="shared" ref="M26:M27" si="26">E26+F26-H26-I26+60*ROUNDDOWN((E26+F26-H26-I26)/60,0)+IF(E26+F26-H26-I26+60*ROUNDDOWN((E26+F26-H26-I26)/60,0) &gt;= 0,0,60)</f>
        <v>39</v>
      </c>
      <c r="N26" s="1">
        <f t="shared" ref="N26:N27" si="27">ROUNDDOWN(L26/2,0)</f>
        <v>14</v>
      </c>
      <c r="O26" s="1">
        <f t="shared" ref="O26:O27" si="28">(L26-ROUNDDOWN(L26/2,0)*2)*30+M26/2</f>
        <v>19.5</v>
      </c>
      <c r="P26" s="1">
        <f t="shared" ref="P26:P27" si="29">(N26+O26/60)*PI()/180</f>
        <v>0.25001841534818769</v>
      </c>
      <c r="Q26" s="8">
        <f>SIN(P26)/B26/(C26*1000)*POWER(10,9)</f>
        <v>412.36967012030112</v>
      </c>
      <c r="R26" s="13">
        <f>SQRT(POWER(COS(P26)/SIN(P26)*$E$10,2)+POWER($G$10/C26,2))</f>
        <v>1.2564475515696829E-3</v>
      </c>
      <c r="S26" s="10">
        <f>R26*Q26</f>
        <v>0.51812086236425015</v>
      </c>
      <c r="T26" s="6">
        <f>Q26+S26</f>
        <v>412.88779098266536</v>
      </c>
      <c r="U26" s="6">
        <f>Q26-S26</f>
        <v>411.85154925793688</v>
      </c>
      <c r="V26" s="6">
        <f>(T26-$Q$14)*($Q$14-U26)</f>
        <v>-16.067598069416167</v>
      </c>
    </row>
    <row r="27" spans="1:22">
      <c r="B27" s="1">
        <v>2</v>
      </c>
      <c r="C27" s="17">
        <v>600</v>
      </c>
      <c r="D27" s="1">
        <v>211</v>
      </c>
      <c r="E27" s="1">
        <v>30</v>
      </c>
      <c r="F27" s="1">
        <v>5</v>
      </c>
      <c r="G27" s="1">
        <v>150</v>
      </c>
      <c r="H27" s="1">
        <v>30</v>
      </c>
      <c r="I27" s="1">
        <v>27</v>
      </c>
      <c r="J27" s="1">
        <f t="shared" si="23"/>
        <v>362</v>
      </c>
      <c r="K27" s="1">
        <f>(E27+F27+H27+I27)-60*ROUNDDOWN((E27+F27+H27+I27)/60,0)</f>
        <v>32</v>
      </c>
      <c r="L27" s="1">
        <f t="shared" si="25"/>
        <v>60</v>
      </c>
      <c r="M27" s="1">
        <f t="shared" si="26"/>
        <v>38</v>
      </c>
      <c r="N27" s="1">
        <f t="shared" si="27"/>
        <v>30</v>
      </c>
      <c r="O27" s="1">
        <f t="shared" si="28"/>
        <v>19</v>
      </c>
      <c r="P27" s="1">
        <f t="shared" si="29"/>
        <v>0.52912565156294755</v>
      </c>
      <c r="Q27" s="8">
        <f t="shared" ref="Q27" si="30">SIN(P27)/B27/(C27*1000)*POWER(10,9)</f>
        <v>420.64896170918445</v>
      </c>
      <c r="R27" s="13">
        <f>SQRT(POWER(COS(P27)/SIN(P27)*$E$10,2)+POWER($G$10/C27,2))</f>
        <v>7.2699990404858175E-4</v>
      </c>
      <c r="S27" s="10">
        <f>R27*Q27</f>
        <v>0.30581175480071265</v>
      </c>
      <c r="T27" s="6">
        <f>Q27+S27</f>
        <v>420.95477346398513</v>
      </c>
      <c r="U27" s="6">
        <f>Q27-S27</f>
        <v>420.34314995438376</v>
      </c>
      <c r="V27" s="6">
        <f>(T27-$Q$14)*($Q$14-U27)</f>
        <v>-17.862918918275813</v>
      </c>
    </row>
    <row r="28" spans="1:22">
      <c r="C28" s="17"/>
      <c r="Q28" s="8">
        <f>AVERAGE(Q26:Q27)</f>
        <v>416.50931591474279</v>
      </c>
      <c r="R28" s="13"/>
      <c r="S28" s="10"/>
    </row>
    <row r="29" spans="1:22">
      <c r="A29" s="1" t="s">
        <v>12</v>
      </c>
      <c r="B29" s="1">
        <v>1</v>
      </c>
      <c r="C29" s="17">
        <v>600</v>
      </c>
      <c r="D29" s="1">
        <v>194</v>
      </c>
      <c r="E29" s="1">
        <v>0</v>
      </c>
      <c r="F29" s="1">
        <v>10</v>
      </c>
      <c r="G29" s="1">
        <v>165</v>
      </c>
      <c r="H29" s="1">
        <v>0</v>
      </c>
      <c r="I29" s="1">
        <v>20</v>
      </c>
      <c r="J29" s="1">
        <f t="shared" ref="J29:J30" si="31">D29+G29+ROUNDDOWN((E29+F29+H29+I29)/60,0)</f>
        <v>359</v>
      </c>
      <c r="K29" s="1">
        <f t="shared" ref="K29:K30" si="32">(E29+F29+H29+I29)-60*ROUNDDOWN((E29+F29+H29+I29)/60,0)</f>
        <v>30</v>
      </c>
      <c r="L29" s="1">
        <f t="shared" ref="L29:L30" si="33">D29-G29+ROUNDDOWN((E29+F29-H29-I29)/60,0)+IF(E29+F29-H29-I29 &gt;= 0,0,-1)</f>
        <v>28</v>
      </c>
      <c r="M29" s="1">
        <f t="shared" ref="M29:M30" si="34">E29+F29-H29-I29+60*ROUNDDOWN((E29+F29-H29-I29)/60,0)+IF(E29+F29-H29-I29+60*ROUNDDOWN((E29+F29-H29-I29)/60,0) &gt;= 0,0,60)</f>
        <v>50</v>
      </c>
      <c r="N29" s="1">
        <f t="shared" ref="N29:N30" si="35">ROUNDDOWN(L29/2,0)</f>
        <v>14</v>
      </c>
      <c r="O29" s="1">
        <f t="shared" ref="O29:O30" si="36">(L29-ROUNDDOWN(L29/2,0)*2)*30+M29/2</f>
        <v>25</v>
      </c>
      <c r="P29" s="1">
        <f t="shared" ref="P29:P30" si="37">(N29+O29/60)*PI()/180</f>
        <v>0.25161830049584916</v>
      </c>
      <c r="Q29" s="8">
        <f t="shared" ref="Q29:Q30" si="38">SIN(P29)/B29/(C29*1000)*POWER(10,9)</f>
        <v>414.95271010000062</v>
      </c>
      <c r="R29" s="13">
        <f>SQRT(POWER(COS(P29)/SIN(P29)*$E$10,2)+POWER($G$10/C29,2))</f>
        <v>1.249602207165685E-3</v>
      </c>
      <c r="S29" s="10">
        <f>R29*Q29</f>
        <v>0.5185258224103434</v>
      </c>
      <c r="T29" s="6">
        <f>Q29+S29</f>
        <v>415.47123592241098</v>
      </c>
      <c r="U29" s="6">
        <f>Q29-S29</f>
        <v>414.43418427759025</v>
      </c>
      <c r="V29" s="6">
        <f>(T29-$Q$17)*($Q$17-U29)</f>
        <v>-12.592155351189055</v>
      </c>
    </row>
    <row r="30" spans="1:22">
      <c r="B30" s="1">
        <v>2</v>
      </c>
      <c r="C30" s="17">
        <v>600</v>
      </c>
      <c r="D30" s="6">
        <v>211</v>
      </c>
      <c r="E30" s="6">
        <v>30</v>
      </c>
      <c r="F30" s="6">
        <v>5</v>
      </c>
      <c r="G30" s="1">
        <v>150</v>
      </c>
      <c r="H30" s="1">
        <v>30</v>
      </c>
      <c r="I30" s="1">
        <v>11</v>
      </c>
      <c r="J30" s="6">
        <f t="shared" si="31"/>
        <v>362</v>
      </c>
      <c r="K30" s="6">
        <f t="shared" si="32"/>
        <v>16</v>
      </c>
      <c r="L30" s="6">
        <f t="shared" si="33"/>
        <v>60</v>
      </c>
      <c r="M30" s="6">
        <f t="shared" si="34"/>
        <v>54</v>
      </c>
      <c r="N30" s="6">
        <f t="shared" si="35"/>
        <v>30</v>
      </c>
      <c r="O30" s="6">
        <f t="shared" si="36"/>
        <v>27</v>
      </c>
      <c r="P30" s="6">
        <f t="shared" si="37"/>
        <v>0.53145275723227325</v>
      </c>
      <c r="Q30" s="9">
        <f t="shared" si="38"/>
        <v>422.32188042568663</v>
      </c>
      <c r="R30" s="15">
        <f>SQRT(POWER(COS(P30)/SIN(P30)*$E$10,2)+POWER($G$10/C30,2))</f>
        <v>7.2519178767296779E-4</v>
      </c>
      <c r="S30" s="11">
        <f>R30*Q30</f>
        <v>0.30626435943931302</v>
      </c>
    </row>
    <row r="31" spans="1:22">
      <c r="C31" s="17"/>
      <c r="Q31" s="9">
        <f>AVERAGE(Q29:Q30)</f>
        <v>418.63729526284362</v>
      </c>
      <c r="R31" s="13"/>
      <c r="S31" s="10"/>
    </row>
    <row r="32" spans="1:22">
      <c r="A32" s="1" t="s">
        <v>13</v>
      </c>
      <c r="B32" s="1">
        <v>1</v>
      </c>
      <c r="C32" s="17">
        <v>600</v>
      </c>
      <c r="D32" s="1">
        <v>195</v>
      </c>
      <c r="E32" s="1">
        <v>0</v>
      </c>
      <c r="F32" s="1">
        <v>10</v>
      </c>
      <c r="G32" s="1">
        <v>164</v>
      </c>
      <c r="H32" s="1">
        <v>30</v>
      </c>
      <c r="I32" s="1">
        <v>17</v>
      </c>
      <c r="J32" s="1">
        <f t="shared" ref="J32:J33" si="39">D32+G32+ROUNDDOWN((E32+F32+H32+I32)/60,0)</f>
        <v>359</v>
      </c>
      <c r="K32" s="1">
        <f t="shared" ref="K32" si="40">(E32+F32+H32+I32)-60*ROUNDDOWN((E32+F32+H32+I32)/60,0)</f>
        <v>57</v>
      </c>
      <c r="L32" s="1">
        <f t="shared" ref="L32:L33" si="41">D32-G32+ROUNDDOWN((E32+F32-H32-I32)/60,0)+IF(E32+F32-H32-I32 &gt;= 0,0,-1)</f>
        <v>30</v>
      </c>
      <c r="M32" s="1">
        <f t="shared" ref="M32:M33" si="42">E32+F32-H32-I32+60*ROUNDDOWN((E32+F32-H32-I32)/60,0)+IF(E32+F32-H32-I32+60*ROUNDDOWN((E32+F32-H32-I32)/60,0) &gt;= 0,0,60)</f>
        <v>23</v>
      </c>
      <c r="N32" s="1">
        <f t="shared" ref="N32:N33" si="43">ROUNDDOWN(L32/2,0)</f>
        <v>15</v>
      </c>
      <c r="O32" s="1">
        <f t="shared" ref="O32:O33" si="44">(L32-ROUNDDOWN(L32/2,0)*2)*30+M32/2</f>
        <v>11.5</v>
      </c>
      <c r="P32" s="1">
        <f t="shared" ref="P32:P33" si="45">(N32+O32/60)*PI()/180</f>
        <v>0.2651446021988052</v>
      </c>
      <c r="Q32" s="8">
        <f t="shared" ref="Q32:Q33" si="46">SIN(P32)/B32/(C32*1000)*POWER(10,9)</f>
        <v>436.74803318080217</v>
      </c>
      <c r="R32" s="13">
        <f>SQRT(POWER(COS(P32)/SIN(P32)*$E$10,2)+POWER($G$10/C32,2))</f>
        <v>1.1952664898919811E-3</v>
      </c>
      <c r="S32" s="10">
        <f>R32*Q32</f>
        <v>0.52203028858724387</v>
      </c>
      <c r="T32" s="6">
        <f>Q32+S32</f>
        <v>437.27006346938941</v>
      </c>
      <c r="U32" s="6">
        <f>Q32-S32</f>
        <v>436.22600289221492</v>
      </c>
      <c r="V32" s="6">
        <f>(T32-$Q$20)*($Q$20-U32)</f>
        <v>6.195852863178037E-2</v>
      </c>
    </row>
    <row r="33" spans="1:22">
      <c r="B33" s="1">
        <v>2</v>
      </c>
      <c r="C33" s="17">
        <v>600</v>
      </c>
      <c r="D33" s="1">
        <v>211</v>
      </c>
      <c r="E33" s="1">
        <v>30</v>
      </c>
      <c r="F33" s="1">
        <v>2</v>
      </c>
      <c r="G33" s="1">
        <v>148</v>
      </c>
      <c r="H33" s="1">
        <v>0</v>
      </c>
      <c r="I33" s="1">
        <v>26</v>
      </c>
      <c r="J33" s="1">
        <f t="shared" si="39"/>
        <v>359</v>
      </c>
      <c r="K33" s="1">
        <f>(E33+F33+H33+I33)-60*ROUNDDOWN((E33+F33+H33+I33)/60,0)</f>
        <v>58</v>
      </c>
      <c r="L33" s="1">
        <f t="shared" si="41"/>
        <v>63</v>
      </c>
      <c r="M33" s="1">
        <f t="shared" si="42"/>
        <v>6</v>
      </c>
      <c r="N33" s="1">
        <f t="shared" si="43"/>
        <v>31</v>
      </c>
      <c r="O33" s="1">
        <f t="shared" si="44"/>
        <v>33</v>
      </c>
      <c r="P33" s="1">
        <f t="shared" si="45"/>
        <v>0.55065137900421091</v>
      </c>
      <c r="Q33" s="8">
        <f t="shared" si="46"/>
        <v>436.03536214912646</v>
      </c>
      <c r="R33" s="13">
        <f>SQRT(POWER(COS(P33)/SIN(P33)*$E$10,2)+POWER($G$10/C33,2))</f>
        <v>7.1098925583675562E-4</v>
      </c>
      <c r="S33" s="10">
        <f>R33*Q33</f>
        <v>0.31001645765291763</v>
      </c>
      <c r="T33" s="6">
        <f>Q33+S33</f>
        <v>436.34537860677938</v>
      </c>
      <c r="U33" s="6">
        <f>Q33-S33</f>
        <v>435.72534569147354</v>
      </c>
      <c r="V33" s="6">
        <f>(T33-$Q$20)*($Q$20-U33)</f>
        <v>3.169270525749214E-2</v>
      </c>
    </row>
    <row r="34" spans="1:22">
      <c r="C34" s="17"/>
      <c r="Q34" s="8">
        <f>AVERAGE(Q32:Q33)</f>
        <v>436.39169766496434</v>
      </c>
      <c r="R34" s="13">
        <v>435.83499999999998</v>
      </c>
      <c r="S34" s="18">
        <f>Q34/R34</f>
        <v>1.0012773128935593</v>
      </c>
    </row>
    <row r="35" spans="1:22">
      <c r="A35" s="1" t="s">
        <v>14</v>
      </c>
      <c r="B35" s="1">
        <v>1</v>
      </c>
      <c r="C35" s="17">
        <v>600</v>
      </c>
      <c r="D35" s="1">
        <v>199</v>
      </c>
      <c r="E35" s="1">
        <v>0</v>
      </c>
      <c r="F35" s="1">
        <v>8</v>
      </c>
      <c r="G35" s="1">
        <v>160</v>
      </c>
      <c r="H35" s="1">
        <v>30</v>
      </c>
      <c r="I35" s="1">
        <v>20</v>
      </c>
      <c r="J35" s="1">
        <f t="shared" ref="J35" si="47">D35+G35+ROUNDDOWN((E35+F35+H35+I35)/60,0)</f>
        <v>359</v>
      </c>
      <c r="K35" s="1">
        <f t="shared" ref="K35" si="48">(E35+F35+H35+I35)-60*ROUNDDOWN((E35+F35+H35+I35)/60,0)</f>
        <v>58</v>
      </c>
      <c r="L35" s="1">
        <f t="shared" ref="L35" si="49">D35-G35+ROUNDDOWN((E35+F35-H35-I35)/60,0)+IF(E35+F35-H35-I35 &gt;= 0,0,-1)</f>
        <v>38</v>
      </c>
      <c r="M35" s="1">
        <f t="shared" ref="M35" si="50">E35+F35-H35-I35+60*ROUNDDOWN((E35+F35-H35-I35)/60,0)+IF(E35+F35-H35-I35+60*ROUNDDOWN((E35+F35-H35-I35)/60,0) &gt;= 0,0,60)</f>
        <v>18</v>
      </c>
      <c r="N35" s="1">
        <f t="shared" ref="N35" si="51">ROUNDDOWN(L35/2,0)</f>
        <v>19</v>
      </c>
      <c r="O35" s="1">
        <f t="shared" ref="O35" si="52">(L35-ROUNDDOWN(L35/2,0)*2)*30+M35/2</f>
        <v>9</v>
      </c>
      <c r="P35" s="1">
        <f t="shared" ref="P35" si="53">(N35+O35/60)*PI()/180</f>
        <v>0.33423055175691407</v>
      </c>
      <c r="Q35" s="8">
        <f t="shared" ref="Q35" si="54">SIN(P35)/B35/(C35*1000)*POWER(10,9)</f>
        <v>546.73732961353596</v>
      </c>
      <c r="R35" s="13">
        <f>SQRT(POWER(COS(P35)/SIN(P35)*$E$10,2)+POWER($G$10/C35,2))</f>
        <v>9.9133771554801246E-4</v>
      </c>
      <c r="S35" s="10">
        <f>R35*Q35</f>
        <v>0.54200133534390349</v>
      </c>
      <c r="T35" s="6">
        <f>Q35+S35</f>
        <v>547.27933094887987</v>
      </c>
      <c r="U35" s="6">
        <f>Q35-S35</f>
        <v>546.19532827819205</v>
      </c>
      <c r="V35" s="6">
        <f>(T35-$Q$22)*($Q$22-U35)</f>
        <v>0.27726475811204399</v>
      </c>
    </row>
    <row r="36" spans="1:22">
      <c r="Q36" s="8">
        <f>AVERAGE(Q35)</f>
        <v>546.73732961353596</v>
      </c>
      <c r="R36" s="1">
        <v>546.07399999999996</v>
      </c>
      <c r="S36" s="18">
        <f>Q36/R36</f>
        <v>1.0012147247690533</v>
      </c>
    </row>
  </sheetData>
  <mergeCells count="15">
    <mergeCell ref="D25:F25"/>
    <mergeCell ref="G25:I25"/>
    <mergeCell ref="J25:K25"/>
    <mergeCell ref="L25:M25"/>
    <mergeCell ref="N25:O25"/>
    <mergeCell ref="N3:O3"/>
    <mergeCell ref="G3:I3"/>
    <mergeCell ref="D3:F3"/>
    <mergeCell ref="J3:K3"/>
    <mergeCell ref="L3:M3"/>
    <mergeCell ref="D11:F11"/>
    <mergeCell ref="G11:I11"/>
    <mergeCell ref="J11:K11"/>
    <mergeCell ref="L11:M11"/>
    <mergeCell ref="N11:O11"/>
  </mergeCells>
  <phoneticPr fontId="1"/>
  <pageMargins left="0.7" right="0.7" top="0.75" bottom="0.75" header="0.3" footer="0.3"/>
  <pageSetup paperSize="9" orientation="portrait" r:id="rId1"/>
  <ignoredErrors>
    <ignoredError sqref="Q20 Q14 Q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KHe7</Manager>
  <Company>UEC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Physics Laboratory</dc:title>
  <dc:subject>Report-09</dc:subject>
  <dc:creator>KHe7</dc:creator>
  <cp:keywords>UEC Physics Laboratory</cp:keywords>
  <cp:lastModifiedBy>KHe7</cp:lastModifiedBy>
  <dcterms:created xsi:type="dcterms:W3CDTF">2010-11-26T13:46:19Z</dcterms:created>
  <dcterms:modified xsi:type="dcterms:W3CDTF">2011-09-04T16:16:25Z</dcterms:modified>
  <cp:category>Report</cp:category>
  <cp:contentStatus/>
</cp:coreProperties>
</file>